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4EAC7AB7-9F08-43DD-AE53-E74BACA7B8C5}" xr6:coauthVersionLast="47" xr6:coauthVersionMax="47" xr10:uidLastSave="{00000000-0000-0000-0000-000000000000}"/>
  <bookViews>
    <workbookView xWindow="3405" yWindow="1155" windowWidth="21600" windowHeight="11385" xr2:uid="{00000000-000D-0000-FFFF-FFFF00000000}"/>
  </bookViews>
  <sheets>
    <sheet name="Hoj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gnpMbioA9W8GvgmsR8kAIsg6eHlg=="/>
    </ext>
  </extLst>
</workbook>
</file>

<file path=xl/calcChain.xml><?xml version="1.0" encoding="utf-8"?>
<calcChain xmlns="http://schemas.openxmlformats.org/spreadsheetml/2006/main">
  <c r="M71" i="1" l="1"/>
  <c r="M70" i="1"/>
  <c r="M69" i="1"/>
  <c r="D69" i="1"/>
  <c r="M68" i="1"/>
  <c r="M72" i="1" s="1"/>
  <c r="E44" i="1" s="1"/>
  <c r="L67" i="1"/>
  <c r="K67" i="1" s="1"/>
  <c r="K71" i="1" s="1"/>
  <c r="L66" i="1"/>
  <c r="K66" i="1"/>
  <c r="K70" i="1" s="1"/>
  <c r="D66" i="1"/>
  <c r="N61" i="1"/>
  <c r="J61" i="1"/>
  <c r="L61" i="1" s="1"/>
  <c r="J60" i="1"/>
  <c r="L60" i="1" s="1"/>
  <c r="J59" i="1"/>
  <c r="D54" i="1"/>
  <c r="D52" i="1"/>
  <c r="J51" i="1"/>
  <c r="J50" i="1"/>
  <c r="E49" i="1"/>
  <c r="D49" i="1"/>
  <c r="E48" i="1"/>
  <c r="D48" i="1"/>
  <c r="K43" i="1"/>
  <c r="L43" i="1" s="1"/>
  <c r="M43" i="1" s="1"/>
  <c r="E43" i="1"/>
  <c r="E42" i="1"/>
  <c r="E41" i="1"/>
  <c r="E40" i="1"/>
  <c r="E39" i="1"/>
  <c r="E38" i="1"/>
  <c r="E37" i="1"/>
  <c r="M36" i="1"/>
  <c r="L36" i="1"/>
  <c r="K36" i="1"/>
  <c r="J36" i="1"/>
  <c r="E36" i="1"/>
  <c r="M35" i="1"/>
  <c r="M34" i="1" s="1"/>
  <c r="L35" i="1"/>
  <c r="L34" i="1" s="1"/>
  <c r="K35" i="1"/>
  <c r="K34" i="1" s="1"/>
  <c r="J35" i="1"/>
  <c r="J34" i="1" s="1"/>
  <c r="M33" i="1"/>
  <c r="M32" i="1" s="1"/>
  <c r="L33" i="1"/>
  <c r="L32" i="1" s="1"/>
  <c r="K33" i="1"/>
  <c r="K32" i="1" s="1"/>
  <c r="J33" i="1"/>
  <c r="J32" i="1"/>
  <c r="M31" i="1"/>
  <c r="M30" i="1" s="1"/>
  <c r="L31" i="1"/>
  <c r="L30" i="1" s="1"/>
  <c r="K31" i="1"/>
  <c r="J31" i="1"/>
  <c r="K30" i="1"/>
  <c r="J30" i="1"/>
  <c r="M29" i="1"/>
  <c r="M28" i="1" s="1"/>
  <c r="L29" i="1"/>
  <c r="L28" i="1" s="1"/>
  <c r="K29" i="1"/>
  <c r="J29" i="1"/>
  <c r="K28" i="1"/>
  <c r="J28" i="1"/>
  <c r="C28" i="1"/>
  <c r="J46" i="1" s="1"/>
  <c r="K25" i="1"/>
  <c r="J25" i="1"/>
  <c r="L24" i="1"/>
  <c r="K24" i="1"/>
  <c r="J24" i="1"/>
  <c r="E24" i="1"/>
  <c r="J23" i="1"/>
  <c r="K18" i="1"/>
  <c r="G18" i="1"/>
  <c r="M37" i="1" s="1"/>
  <c r="C49" i="1" s="1"/>
  <c r="E18" i="1"/>
  <c r="L37" i="1" s="1"/>
  <c r="C48" i="1" s="1"/>
  <c r="H12" i="1"/>
  <c r="D53" i="1" s="1"/>
  <c r="J8" i="1"/>
  <c r="J7" i="1"/>
  <c r="J3" i="1"/>
  <c r="G16" i="1" s="1"/>
  <c r="K37" i="1" s="1"/>
  <c r="C47" i="1" s="1"/>
  <c r="J2" i="1"/>
  <c r="E16" i="1" s="1"/>
  <c r="J37" i="1" l="1"/>
  <c r="C46" i="1"/>
  <c r="K46" i="1"/>
  <c r="D55" i="1"/>
  <c r="E34" i="1"/>
  <c r="K19" i="1"/>
  <c r="L64" i="1"/>
  <c r="E33" i="1"/>
  <c r="J16" i="1"/>
  <c r="E25" i="1"/>
  <c r="L65" i="1"/>
  <c r="D46" i="1" l="1"/>
  <c r="M62" i="1"/>
  <c r="N62" i="1" s="1"/>
  <c r="F59" i="1" s="1"/>
  <c r="D44" i="1" s="1"/>
  <c r="M64" i="1"/>
  <c r="E22" i="1" s="1"/>
  <c r="K64" i="1"/>
  <c r="K68" i="1" s="1"/>
  <c r="L68" i="1" s="1"/>
  <c r="E61" i="1"/>
  <c r="E59" i="1"/>
  <c r="L47" i="1"/>
  <c r="K47" i="1"/>
  <c r="L48" i="1"/>
  <c r="L45" i="1"/>
  <c r="L46" i="1"/>
  <c r="K45" i="1"/>
  <c r="J48" i="1"/>
  <c r="K65" i="1"/>
  <c r="K69" i="1" s="1"/>
  <c r="E23" i="1"/>
  <c r="D47" i="1"/>
  <c r="J49" i="1" s="1"/>
  <c r="E47" i="1" s="1"/>
  <c r="K61" i="1" l="1"/>
  <c r="K59" i="1"/>
  <c r="L59" i="1" s="1"/>
  <c r="L62" i="1" s="1"/>
  <c r="J14" i="1"/>
  <c r="J15" i="1" s="1"/>
  <c r="J17" i="1" s="1"/>
  <c r="K60" i="1"/>
  <c r="C44" i="1"/>
  <c r="J63" i="1" s="1"/>
  <c r="L70" i="1"/>
  <c r="L71" i="1"/>
  <c r="L69" i="1"/>
  <c r="E60" i="1"/>
  <c r="E64" i="1" s="1"/>
  <c r="E63" i="1"/>
  <c r="J9" i="1"/>
  <c r="E46" i="1"/>
  <c r="E65" i="1" s="1"/>
  <c r="E62" i="1"/>
  <c r="E66" i="1" l="1"/>
  <c r="E67" i="1" s="1"/>
  <c r="K17" i="1"/>
  <c r="K16" i="1"/>
  <c r="K15" i="1" s="1"/>
  <c r="E56" i="1" s="1"/>
  <c r="E53" i="1"/>
  <c r="E52" i="1"/>
  <c r="E54" i="1"/>
  <c r="K21" i="1"/>
  <c r="M45" i="1" l="1"/>
  <c r="E55" i="1"/>
  <c r="J43" i="1" s="1"/>
  <c r="K23" i="1"/>
  <c r="E68" i="1" s="1"/>
  <c r="E69" i="1" s="1"/>
  <c r="E57" i="1"/>
  <c r="E70" i="1" l="1"/>
  <c r="E72" i="1" s="1"/>
  <c r="J45" i="1"/>
</calcChain>
</file>

<file path=xl/sharedStrings.xml><?xml version="1.0" encoding="utf-8"?>
<sst xmlns="http://schemas.openxmlformats.org/spreadsheetml/2006/main" count="84" uniqueCount="70">
  <si>
    <t>CALCULO DE SALDO Y FINIQUITO</t>
  </si>
  <si>
    <t>NOMBRE:</t>
  </si>
  <si>
    <t>EMPRESA:</t>
  </si>
  <si>
    <t>CONVENIO:</t>
  </si>
  <si>
    <t>CATEGORIA:</t>
  </si>
  <si>
    <t>FECHA INICIO RELACION LABORAL:</t>
  </si>
  <si>
    <t>DIAS TRABAJADOS:</t>
  </si>
  <si>
    <t>FECHA FINAL RELACION LABORAL:</t>
  </si>
  <si>
    <t>NÚMERO DE PAGAS -2,3 o 4- ( 1 si es semestral ):</t>
  </si>
  <si>
    <t>PERIODO PAGAS EXTRAS:</t>
  </si>
  <si>
    <t>VERANO:</t>
  </si>
  <si>
    <t>INVIERNO:</t>
  </si>
  <si>
    <t>FECHA DE REFERENCIA:</t>
  </si>
  <si>
    <t>TERCERA PAGA:</t>
  </si>
  <si>
    <t>CUARTA PAGA:</t>
  </si>
  <si>
    <t>SALARIO</t>
  </si>
  <si>
    <t>PAGAS EXTRAS</t>
  </si>
  <si>
    <t>DÍAS</t>
  </si>
  <si>
    <t>SALARIO BASE:</t>
  </si>
  <si>
    <t>PRIMERA PAGA:</t>
  </si>
  <si>
    <t>SEGUNDA PAGA:</t>
  </si>
  <si>
    <t>BAJAS A EFECTOS DE PAGAS</t>
  </si>
  <si>
    <t>INICIO</t>
  </si>
  <si>
    <t>TOTAL SALARIO:</t>
  </si>
  <si>
    <t>FINAL</t>
  </si>
  <si>
    <t>CONCEPTOS FIJOS MENSUALES EXCLUIDOS DE PAGAS:</t>
  </si>
  <si>
    <t>DIAS</t>
  </si>
  <si>
    <t>SALARIO:</t>
  </si>
  <si>
    <t>VACACIONES:</t>
  </si>
  <si>
    <t>UNIDADES</t>
  </si>
  <si>
    <t>PRECIO</t>
  </si>
  <si>
    <t>HORAS EXTRAS:</t>
  </si>
  <si>
    <t>CONCEPTOS EXCLUIDOS DE COTIZACION</t>
  </si>
  <si>
    <t>HORAS EXTRAS (2):</t>
  </si>
  <si>
    <t>CONCEPTOS EXCLUIDOS DE RETENCION Y COTIZACION</t>
  </si>
  <si>
    <t>PACTADA</t>
  </si>
  <si>
    <t>OTROS PLUSES:</t>
  </si>
  <si>
    <t>PRORRATA PAGA EXTRA</t>
  </si>
  <si>
    <t>PAGAS PENDIENTES DE LIQUIDAR</t>
  </si>
  <si>
    <t>(MARCAR "0" SI SE COBRA PRORRATEADA)</t>
  </si>
  <si>
    <t>PRIMERA PAGA EXTRA:</t>
  </si>
  <si>
    <t>Xy1277,5</t>
  </si>
  <si>
    <t>SEGUNDA PAGA EXTRA:</t>
  </si>
  <si>
    <t>45yY</t>
  </si>
  <si>
    <t>TERCERA PAGA EXTRA:</t>
  </si>
  <si>
    <t>XyY</t>
  </si>
  <si>
    <t>CUARTA PAGA EXTRA:</t>
  </si>
  <si>
    <t>DESPIDO</t>
  </si>
  <si>
    <t>INDEMNIZACIONES</t>
  </si>
  <si>
    <t>NÚM. DIAS</t>
  </si>
  <si>
    <t>MOD. SUSTANCIAL O ADICIONAL:</t>
  </si>
  <si>
    <t>(LIMITE DE 12 MENSUALIDADES)</t>
  </si>
  <si>
    <t>DESPIDO (CONTRATO FOMENTO EMPLEO):</t>
  </si>
  <si>
    <t>(LIMITE DE 24 MENSUALIDADES)</t>
  </si>
  <si>
    <t>DESPIDO O FIN CONTRATO:</t>
  </si>
  <si>
    <t>(LIMITE DE 42 MENSUALIDADES)</t>
  </si>
  <si>
    <t>PACTADA:</t>
  </si>
  <si>
    <t>OTRA:</t>
  </si>
  <si>
    <t>TOTAL SIN RETENCION:</t>
  </si>
  <si>
    <t>CONTINGENCIAS COMUNES</t>
  </si>
  <si>
    <t>DESEMPLEO</t>
  </si>
  <si>
    <t>FORMACION</t>
  </si>
  <si>
    <t>I.R.P.F.</t>
  </si>
  <si>
    <t>SALARIO A PERCIBIR:</t>
  </si>
  <si>
    <t>PAGAS EXTRAS:</t>
  </si>
  <si>
    <t>P.EXTRAS A PERCIBIR:</t>
  </si>
  <si>
    <t>INDEMNIZACION SUJETA A RETENCION</t>
  </si>
  <si>
    <t>INDEMNIZACION A PERCIBIR:</t>
  </si>
  <si>
    <t>TOTAL FINIQUITO:</t>
  </si>
  <si>
    <t>(CIUDAD) (fecha)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</si>
</sst>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\ &quot;de&quot;\ mmmm\ &quot;de&quot;\ yyyy"/>
    <numFmt numFmtId="165" formatCode="#,##0.00\ &quot;€&quot;"/>
    <numFmt numFmtId="166" formatCode="[$-C0A]d\ &quot;de&quot;\ mmmm\ &quot;de&quot;\ yyyy"/>
    <numFmt numFmtId="167" formatCode="0.0"/>
    <numFmt numFmtId="168" formatCode="#,##0\ &quot;Ptas&quot;"/>
    <numFmt numFmtId="169" formatCode="@&quot;,&quot;"/>
  </numFmts>
  <fonts count="33">
    <font>
      <sz val="10"/>
      <color rgb="FF000000"/>
      <name val="Arial"/>
    </font>
    <font>
      <sz val="7"/>
      <color theme="0"/>
      <name val="Arial"/>
    </font>
    <font>
      <sz val="10"/>
      <name val="Arial"/>
    </font>
    <font>
      <sz val="10"/>
      <color theme="1"/>
      <name val="Arial"/>
    </font>
    <font>
      <sz val="10"/>
      <name val="Arial"/>
    </font>
    <font>
      <sz val="10"/>
      <color theme="0"/>
      <name val="Arial"/>
    </font>
    <font>
      <b/>
      <sz val="18"/>
      <color rgb="FF000000"/>
      <name val="Karla"/>
    </font>
    <font>
      <b/>
      <sz val="23"/>
      <color rgb="FF000000"/>
      <name val="Docs-Karla"/>
    </font>
    <font>
      <b/>
      <sz val="18"/>
      <color theme="1"/>
      <name val="Karla"/>
    </font>
    <font>
      <sz val="12"/>
      <color theme="1"/>
      <name val="Karla"/>
    </font>
    <font>
      <b/>
      <sz val="12"/>
      <color theme="1"/>
      <name val="Karla"/>
    </font>
    <font>
      <sz val="10"/>
      <name val="Karla"/>
    </font>
    <font>
      <sz val="8"/>
      <color theme="1"/>
      <name val="Karla"/>
    </font>
    <font>
      <b/>
      <sz val="10"/>
      <color theme="1"/>
      <name val="Karla"/>
    </font>
    <font>
      <sz val="9"/>
      <color theme="1"/>
      <name val="Karla"/>
    </font>
    <font>
      <sz val="9"/>
      <name val="Karla"/>
    </font>
    <font>
      <sz val="10"/>
      <color theme="1"/>
      <name val="Karla"/>
    </font>
    <font>
      <sz val="8"/>
      <name val="Karla"/>
    </font>
    <font>
      <sz val="10"/>
      <color rgb="FFFFFFFF"/>
      <name val="Karla"/>
    </font>
    <font>
      <b/>
      <u/>
      <sz val="12"/>
      <color theme="1"/>
      <name val="Karla"/>
    </font>
    <font>
      <b/>
      <u/>
      <sz val="12"/>
      <name val="Karla"/>
    </font>
    <font>
      <u/>
      <sz val="10"/>
      <color rgb="FF0000FF"/>
      <name val="Arial"/>
    </font>
    <font>
      <b/>
      <u/>
      <sz val="10"/>
      <color theme="1"/>
      <name val="Karla"/>
    </font>
    <font>
      <b/>
      <u/>
      <sz val="8"/>
      <color theme="1"/>
      <name val="Karla"/>
    </font>
    <font>
      <u/>
      <sz val="10"/>
      <name val="Karla"/>
    </font>
    <font>
      <b/>
      <u/>
      <sz val="10"/>
      <color theme="1"/>
      <name val="Karla"/>
    </font>
    <font>
      <b/>
      <sz val="8"/>
      <color theme="1"/>
      <name val="Karla"/>
    </font>
    <font>
      <sz val="7"/>
      <color theme="1"/>
      <name val="Karla"/>
    </font>
    <font>
      <u/>
      <sz val="10"/>
      <color theme="1"/>
      <name val="Karla"/>
    </font>
    <font>
      <b/>
      <u/>
      <sz val="10"/>
      <color theme="1"/>
      <name val="Karla"/>
    </font>
    <font>
      <u/>
      <sz val="10"/>
      <name val="Karla"/>
    </font>
    <font>
      <b/>
      <sz val="14"/>
      <color theme="1"/>
      <name val="Karla"/>
    </font>
    <font>
      <b/>
      <sz val="14"/>
      <color theme="1"/>
      <name val="Verdana"/>
    </font>
  </fonts>
  <fills count="7">
    <fill>
      <patternFill patternType="none"/>
    </fill>
    <fill>
      <patternFill patternType="gray125"/>
    </fill>
    <fill>
      <patternFill patternType="solid">
        <fgColor rgb="FF5EBEA3"/>
        <bgColor rgb="FF5EBEA3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0" applyNumberFormat="1" applyFont="1"/>
    <xf numFmtId="0" fontId="5" fillId="3" borderId="9" xfId="0" applyFont="1" applyFill="1" applyBorder="1"/>
    <xf numFmtId="0" fontId="3" fillId="3" borderId="0" xfId="0" applyFont="1" applyFill="1"/>
    <xf numFmtId="164" fontId="3" fillId="3" borderId="0" xfId="0" applyNumberFormat="1" applyFont="1" applyFill="1"/>
    <xf numFmtId="0" fontId="6" fillId="4" borderId="7" xfId="0" applyFont="1" applyFill="1" applyBorder="1" applyAlignment="1">
      <alignment horizontal="left"/>
    </xf>
    <xf numFmtId="0" fontId="7" fillId="4" borderId="0" xfId="0" applyFont="1" applyFill="1" applyAlignment="1">
      <alignment horizontal="left"/>
    </xf>
    <xf numFmtId="0" fontId="8" fillId="4" borderId="7" xfId="0" applyFont="1" applyFill="1" applyBorder="1" applyAlignment="1">
      <alignment horizontal="left"/>
    </xf>
    <xf numFmtId="0" fontId="8" fillId="4" borderId="8" xfId="0" applyFont="1" applyFill="1" applyBorder="1" applyAlignment="1">
      <alignment horizontal="left"/>
    </xf>
    <xf numFmtId="0" fontId="3" fillId="3" borderId="9" xfId="0" applyFont="1" applyFill="1" applyBorder="1"/>
    <xf numFmtId="164" fontId="3" fillId="3" borderId="9" xfId="0" applyNumberFormat="1" applyFont="1" applyFill="1" applyBorder="1"/>
    <xf numFmtId="165" fontId="3" fillId="0" borderId="0" xfId="0" applyNumberFormat="1" applyFont="1"/>
    <xf numFmtId="0" fontId="11" fillId="0" borderId="0" xfId="0" applyFont="1"/>
    <xf numFmtId="0" fontId="13" fillId="0" borderId="0" xfId="0" applyFont="1"/>
    <xf numFmtId="0" fontId="15" fillId="0" borderId="0" xfId="0" applyFont="1" applyAlignment="1">
      <alignment horizontal="center"/>
    </xf>
    <xf numFmtId="1" fontId="14" fillId="0" borderId="0" xfId="0" applyNumberFormat="1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0" fontId="14" fillId="0" borderId="0" xfId="0" applyFont="1" applyAlignment="1">
      <alignment horizontal="right"/>
    </xf>
    <xf numFmtId="164" fontId="18" fillId="4" borderId="0" xfId="0" applyNumberFormat="1" applyFont="1" applyFill="1" applyAlignment="1">
      <alignment horizontal="center"/>
    </xf>
    <xf numFmtId="0" fontId="16" fillId="0" borderId="0" xfId="0" applyFont="1"/>
    <xf numFmtId="0" fontId="20" fillId="0" borderId="0" xfId="0" applyFont="1" applyAlignment="1">
      <alignment horizontal="center"/>
    </xf>
    <xf numFmtId="165" fontId="11" fillId="5" borderId="16" xfId="0" applyNumberFormat="1" applyFont="1" applyFill="1" applyBorder="1"/>
    <xf numFmtId="0" fontId="17" fillId="0" borderId="0" xfId="0" applyFont="1" applyAlignment="1">
      <alignment horizontal="right"/>
    </xf>
    <xf numFmtId="165" fontId="16" fillId="0" borderId="0" xfId="0" applyNumberFormat="1" applyFont="1"/>
    <xf numFmtId="0" fontId="11" fillId="5" borderId="17" xfId="0" applyFont="1" applyFill="1" applyBorder="1" applyAlignment="1">
      <alignment horizontal="center"/>
    </xf>
    <xf numFmtId="165" fontId="11" fillId="5" borderId="18" xfId="0" applyNumberFormat="1" applyFont="1" applyFill="1" applyBorder="1"/>
    <xf numFmtId="22" fontId="3" fillId="0" borderId="0" xfId="0" applyNumberFormat="1" applyFont="1"/>
    <xf numFmtId="1" fontId="3" fillId="0" borderId="0" xfId="0" applyNumberFormat="1" applyFont="1"/>
    <xf numFmtId="0" fontId="21" fillId="3" borderId="9" xfId="0" applyFont="1" applyFill="1" applyBorder="1" applyAlignment="1">
      <alignment vertical="center"/>
    </xf>
    <xf numFmtId="165" fontId="11" fillId="5" borderId="19" xfId="0" applyNumberFormat="1" applyFont="1" applyFill="1" applyBorder="1"/>
    <xf numFmtId="0" fontId="11" fillId="0" borderId="0" xfId="0" applyFont="1" applyAlignment="1">
      <alignment horizontal="right"/>
    </xf>
    <xf numFmtId="165" fontId="13" fillId="0" borderId="20" xfId="0" applyNumberFormat="1" applyFont="1" applyBorder="1"/>
    <xf numFmtId="166" fontId="3" fillId="0" borderId="0" xfId="0" applyNumberFormat="1" applyFont="1"/>
    <xf numFmtId="0" fontId="24" fillId="0" borderId="0" xfId="0" applyFont="1"/>
    <xf numFmtId="0" fontId="11" fillId="5" borderId="17" xfId="0" applyFont="1" applyFill="1" applyBorder="1"/>
    <xf numFmtId="165" fontId="13" fillId="0" borderId="0" xfId="0" applyNumberFormat="1" applyFont="1"/>
    <xf numFmtId="0" fontId="11" fillId="5" borderId="9" xfId="0" applyFont="1" applyFill="1" applyBorder="1"/>
    <xf numFmtId="0" fontId="11" fillId="5" borderId="24" xfId="0" applyFont="1" applyFill="1" applyBorder="1"/>
    <xf numFmtId="0" fontId="11" fillId="5" borderId="26" xfId="0" applyFont="1" applyFill="1" applyBorder="1"/>
    <xf numFmtId="165" fontId="11" fillId="5" borderId="26" xfId="0" applyNumberFormat="1" applyFont="1" applyFill="1" applyBorder="1"/>
    <xf numFmtId="3" fontId="3" fillId="0" borderId="0" xfId="0" applyNumberFormat="1" applyFont="1"/>
    <xf numFmtId="167" fontId="3" fillId="0" borderId="0" xfId="0" applyNumberFormat="1" applyFont="1"/>
    <xf numFmtId="1" fontId="16" fillId="0" borderId="0" xfId="0" applyNumberFormat="1" applyFont="1"/>
    <xf numFmtId="0" fontId="11" fillId="5" borderId="2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3" fontId="16" fillId="0" borderId="0" xfId="0" applyNumberFormat="1" applyFont="1"/>
    <xf numFmtId="165" fontId="11" fillId="5" borderId="17" xfId="0" applyNumberFormat="1" applyFont="1" applyFill="1" applyBorder="1"/>
    <xf numFmtId="165" fontId="16" fillId="0" borderId="20" xfId="0" applyNumberFormat="1" applyFont="1" applyBorder="1"/>
    <xf numFmtId="0" fontId="18" fillId="0" borderId="0" xfId="0" applyFont="1"/>
    <xf numFmtId="165" fontId="18" fillId="0" borderId="0" xfId="0" applyNumberFormat="1" applyFont="1"/>
    <xf numFmtId="165" fontId="11" fillId="0" borderId="0" xfId="0" applyNumberFormat="1" applyFont="1"/>
    <xf numFmtId="10" fontId="11" fillId="0" borderId="0" xfId="0" applyNumberFormat="1" applyFont="1"/>
    <xf numFmtId="10" fontId="11" fillId="6" borderId="9" xfId="0" applyNumberFormat="1" applyFont="1" applyFill="1" applyBorder="1"/>
    <xf numFmtId="9" fontId="11" fillId="6" borderId="9" xfId="0" applyNumberFormat="1" applyFont="1" applyFill="1" applyBorder="1"/>
    <xf numFmtId="165" fontId="13" fillId="0" borderId="27" xfId="0" applyNumberFormat="1" applyFont="1" applyBorder="1"/>
    <xf numFmtId="165" fontId="16" fillId="0" borderId="28" xfId="0" applyNumberFormat="1" applyFont="1" applyBorder="1"/>
    <xf numFmtId="9" fontId="16" fillId="0" borderId="0" xfId="0" applyNumberFormat="1" applyFont="1"/>
    <xf numFmtId="0" fontId="30" fillId="0" borderId="0" xfId="0" applyFont="1" applyAlignment="1">
      <alignment horizontal="center"/>
    </xf>
    <xf numFmtId="165" fontId="31" fillId="0" borderId="29" xfId="0" applyNumberFormat="1" applyFont="1" applyBorder="1"/>
    <xf numFmtId="0" fontId="12" fillId="5" borderId="10" xfId="0" applyFont="1" applyFill="1" applyBorder="1" applyAlignment="1">
      <alignment horizontal="right"/>
    </xf>
    <xf numFmtId="0" fontId="2" fillId="0" borderId="23" xfId="0" applyFont="1" applyBorder="1"/>
    <xf numFmtId="0" fontId="26" fillId="0" borderId="0" xfId="0" applyFont="1" applyAlignment="1">
      <alignment horizontal="right"/>
    </xf>
    <xf numFmtId="0" fontId="0" fillId="0" borderId="0" xfId="0"/>
    <xf numFmtId="164" fontId="16" fillId="5" borderId="10" xfId="0" applyNumberFormat="1" applyFont="1" applyFill="1" applyBorder="1" applyAlignment="1">
      <alignment horizontal="center"/>
    </xf>
    <xf numFmtId="0" fontId="2" fillId="0" borderId="12" xfId="0" applyFont="1" applyBorder="1"/>
    <xf numFmtId="0" fontId="12" fillId="5" borderId="13" xfId="0" applyFont="1" applyFill="1" applyBorder="1" applyAlignment="1">
      <alignment horizontal="right"/>
    </xf>
    <xf numFmtId="0" fontId="2" fillId="0" borderId="25" xfId="0" applyFont="1" applyBorder="1"/>
    <xf numFmtId="0" fontId="12" fillId="4" borderId="10" xfId="0" applyFont="1" applyFill="1" applyBorder="1" applyAlignment="1">
      <alignment horizontal="right"/>
    </xf>
    <xf numFmtId="0" fontId="12" fillId="5" borderId="21" xfId="0" applyFont="1" applyFill="1" applyBorder="1" applyAlignment="1">
      <alignment horizontal="right"/>
    </xf>
    <xf numFmtId="0" fontId="2" fillId="0" borderId="22" xfId="0" applyFont="1" applyBorder="1"/>
    <xf numFmtId="0" fontId="12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168" fontId="10" fillId="0" borderId="0" xfId="0" applyNumberFormat="1" applyFont="1" applyAlignment="1">
      <alignment horizontal="center"/>
    </xf>
    <xf numFmtId="0" fontId="32" fillId="0" borderId="0" xfId="0" applyFont="1" applyAlignment="1">
      <alignment horizontal="center"/>
    </xf>
    <xf numFmtId="169" fontId="31" fillId="5" borderId="10" xfId="0" applyNumberFormat="1" applyFont="1" applyFill="1" applyBorder="1" applyAlignment="1">
      <alignment horizontal="center" vertical="center"/>
    </xf>
    <xf numFmtId="0" fontId="2" fillId="0" borderId="11" xfId="0" applyFont="1" applyBorder="1"/>
    <xf numFmtId="0" fontId="2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13" fillId="5" borderId="10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164" fontId="13" fillId="5" borderId="13" xfId="0" applyNumberFormat="1" applyFont="1" applyFill="1" applyBorder="1" applyAlignment="1">
      <alignment horizontal="center"/>
    </xf>
    <xf numFmtId="0" fontId="2" fillId="0" borderId="15" xfId="0" applyFont="1" applyBorder="1"/>
    <xf numFmtId="0" fontId="13" fillId="5" borderId="13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16" fillId="4" borderId="10" xfId="0" applyFont="1" applyFill="1" applyBorder="1" applyAlignment="1">
      <alignment horizontal="center"/>
    </xf>
    <xf numFmtId="0" fontId="16" fillId="5" borderId="10" xfId="0" applyFont="1" applyFill="1" applyBorder="1" applyAlignment="1">
      <alignment horizontal="right"/>
    </xf>
    <xf numFmtId="0" fontId="16" fillId="5" borderId="13" xfId="0" applyFont="1" applyFill="1" applyBorder="1" applyAlignment="1">
      <alignment horizontal="right"/>
    </xf>
    <xf numFmtId="0" fontId="22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12" fillId="5" borderId="10" xfId="0" applyFont="1" applyFill="1" applyBorder="1" applyAlignment="1">
      <alignment horizontal="center"/>
    </xf>
    <xf numFmtId="0" fontId="12" fillId="5" borderId="13" xfId="0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0" fontId="12" fillId="4" borderId="21" xfId="0" applyFont="1" applyFill="1" applyBorder="1" applyAlignment="1">
      <alignment horizontal="right"/>
    </xf>
    <xf numFmtId="0" fontId="28" fillId="0" borderId="0" xfId="0" applyFont="1" applyAlignment="1">
      <alignment horizontal="left"/>
    </xf>
    <xf numFmtId="0" fontId="10" fillId="5" borderId="13" xfId="0" applyFont="1" applyFill="1" applyBorder="1" applyAlignment="1">
      <alignment horizontal="center"/>
    </xf>
    <xf numFmtId="0" fontId="2" fillId="0" borderId="14" xfId="0" applyFont="1" applyBorder="1"/>
    <xf numFmtId="0" fontId="1" fillId="2" borderId="1" xfId="0" applyFont="1" applyFill="1" applyBorder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10" fillId="5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esamehr.es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323850</xdr:colOff>
      <xdr:row>0</xdr:row>
      <xdr:rowOff>133350</xdr:rowOff>
    </xdr:from>
    <xdr:ext cx="1076325" cy="228600"/>
    <xdr:pic>
      <xdr:nvPicPr>
        <xdr:cNvPr id="2" name="image1.png" title="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3"/>
  <sheetViews>
    <sheetView showGridLines="0" tabSelected="1" workbookViewId="0">
      <selection sqref="A1:H3"/>
    </sheetView>
  </sheetViews>
  <sheetFormatPr baseColWidth="10" defaultColWidth="14.42578125" defaultRowHeight="15" customHeight="1"/>
  <cols>
    <col min="1" max="1" width="11.42578125" customWidth="1"/>
    <col min="2" max="2" width="22.140625" customWidth="1"/>
    <col min="3" max="3" width="13" customWidth="1"/>
    <col min="4" max="4" width="18.140625" customWidth="1"/>
    <col min="5" max="5" width="19.28515625" customWidth="1"/>
    <col min="6" max="6" width="17.5703125" customWidth="1"/>
    <col min="7" max="7" width="14" customWidth="1"/>
    <col min="8" max="8" width="13.85546875" customWidth="1"/>
    <col min="9" max="9" width="12.5703125" hidden="1" customWidth="1"/>
    <col min="10" max="10" width="21" hidden="1" customWidth="1"/>
    <col min="11" max="11" width="21.42578125" hidden="1" customWidth="1"/>
    <col min="12" max="12" width="20" hidden="1" customWidth="1"/>
    <col min="13" max="13" width="22.7109375" hidden="1" customWidth="1"/>
    <col min="14" max="14" width="11.42578125" hidden="1" customWidth="1"/>
    <col min="15" max="19" width="11.42578125" customWidth="1"/>
    <col min="20" max="26" width="10" customWidth="1"/>
  </cols>
  <sheetData>
    <row r="1" spans="1:26" ht="12.75" customHeight="1">
      <c r="A1" s="105"/>
      <c r="B1" s="106"/>
      <c r="C1" s="106"/>
      <c r="D1" s="106"/>
      <c r="E1" s="106"/>
      <c r="F1" s="106"/>
      <c r="G1" s="106"/>
      <c r="H1" s="107"/>
      <c r="I1" s="1"/>
      <c r="J1" s="1"/>
      <c r="K1" s="1"/>
      <c r="L1" s="1"/>
      <c r="M1" s="1"/>
      <c r="N1" s="1"/>
      <c r="O1" s="2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9.25" customHeight="1">
      <c r="A2" s="108"/>
      <c r="B2" s="66"/>
      <c r="C2" s="66"/>
      <c r="D2" s="66"/>
      <c r="E2" s="66"/>
      <c r="F2" s="66"/>
      <c r="G2" s="66"/>
      <c r="H2" s="109"/>
      <c r="I2" s="1"/>
      <c r="J2" s="3">
        <f>IF(D12&gt;D17,D12,D17)</f>
        <v>43647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.5" customHeight="1">
      <c r="A3" s="110"/>
      <c r="B3" s="111"/>
      <c r="C3" s="111"/>
      <c r="D3" s="111"/>
      <c r="E3" s="111"/>
      <c r="F3" s="111"/>
      <c r="G3" s="111"/>
      <c r="H3" s="112"/>
      <c r="I3" s="1"/>
      <c r="J3" s="3">
        <f>IF(F17&gt;D12,F17,D12)</f>
        <v>43466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4"/>
      <c r="B4" s="4"/>
      <c r="C4" s="4"/>
      <c r="D4" s="4"/>
      <c r="E4" s="4"/>
      <c r="F4" s="4"/>
      <c r="G4" s="4"/>
      <c r="H4" s="4"/>
      <c r="I4" s="5"/>
      <c r="J4" s="6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6.75" customHeight="1">
      <c r="A5" s="7"/>
      <c r="B5" s="8" t="s">
        <v>0</v>
      </c>
      <c r="C5" s="9"/>
      <c r="D5" s="9"/>
      <c r="E5" s="9"/>
      <c r="F5" s="9"/>
      <c r="G5" s="9"/>
      <c r="H5" s="10"/>
      <c r="I5" s="5"/>
      <c r="J5" s="6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7" customHeight="1">
      <c r="A6" s="4"/>
      <c r="B6" s="4"/>
      <c r="C6" s="4"/>
      <c r="D6" s="4"/>
      <c r="E6" s="4"/>
      <c r="F6" s="4"/>
      <c r="G6" s="4"/>
      <c r="H6" s="4"/>
      <c r="I6" s="11"/>
      <c r="J6" s="12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21" customHeight="1">
      <c r="A7" s="86" t="s">
        <v>1</v>
      </c>
      <c r="B7" s="66"/>
      <c r="C7" s="113"/>
      <c r="D7" s="84"/>
      <c r="E7" s="84"/>
      <c r="F7" s="84"/>
      <c r="G7" s="84"/>
      <c r="H7" s="68"/>
      <c r="I7" s="1"/>
      <c r="J7" s="3">
        <f>IF(D12&gt;D19,D12,D19)</f>
        <v>43101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>
      <c r="A8" s="86" t="s">
        <v>2</v>
      </c>
      <c r="B8" s="66"/>
      <c r="C8" s="103"/>
      <c r="D8" s="104"/>
      <c r="E8" s="104"/>
      <c r="F8" s="104"/>
      <c r="G8" s="104"/>
      <c r="H8" s="90"/>
      <c r="I8" s="1"/>
      <c r="J8" s="3">
        <f>IF(F19&gt;D12,F19,D12)</f>
        <v>43101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2.5" customHeight="1">
      <c r="A9" s="86" t="s">
        <v>3</v>
      </c>
      <c r="B9" s="66"/>
      <c r="C9" s="103"/>
      <c r="D9" s="104"/>
      <c r="E9" s="104"/>
      <c r="F9" s="104"/>
      <c r="G9" s="104"/>
      <c r="H9" s="90"/>
      <c r="I9" s="1"/>
      <c r="J9" s="13">
        <f>+$J$48+$J$49+J50+J51</f>
        <v>2954.0929315068493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.75" customHeight="1">
      <c r="A10" s="86" t="s">
        <v>4</v>
      </c>
      <c r="B10" s="66"/>
      <c r="C10" s="103"/>
      <c r="D10" s="104"/>
      <c r="E10" s="104"/>
      <c r="F10" s="104"/>
      <c r="G10" s="104"/>
      <c r="H10" s="90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7" customHeight="1">
      <c r="A11" s="14"/>
      <c r="B11" s="14"/>
      <c r="C11" s="14"/>
      <c r="D11" s="14"/>
      <c r="E11" s="14"/>
      <c r="F11" s="14"/>
      <c r="G11" s="14"/>
      <c r="H11" s="14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7.25" customHeight="1">
      <c r="A12" s="74" t="s">
        <v>5</v>
      </c>
      <c r="B12" s="66"/>
      <c r="C12" s="66"/>
      <c r="D12" s="87">
        <v>43101</v>
      </c>
      <c r="E12" s="68"/>
      <c r="F12" s="88" t="s">
        <v>6</v>
      </c>
      <c r="G12" s="66"/>
      <c r="H12" s="15">
        <f>+D13-D12+1</f>
        <v>761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>
      <c r="A13" s="74" t="s">
        <v>7</v>
      </c>
      <c r="B13" s="66"/>
      <c r="C13" s="66"/>
      <c r="D13" s="89">
        <v>43861</v>
      </c>
      <c r="E13" s="90"/>
      <c r="F13" s="14"/>
      <c r="G13" s="14"/>
      <c r="H13" s="14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>
      <c r="A14" s="74" t="s">
        <v>8</v>
      </c>
      <c r="B14" s="66"/>
      <c r="C14" s="66"/>
      <c r="D14" s="91">
        <v>2</v>
      </c>
      <c r="E14" s="90"/>
      <c r="F14" s="14"/>
      <c r="G14" s="14"/>
      <c r="H14" s="14"/>
      <c r="I14" s="1"/>
      <c r="J14" s="13">
        <f>SUM(E22:E25)</f>
        <v>3529.44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>
      <c r="A15" s="14"/>
      <c r="B15" s="14"/>
      <c r="C15" s="14"/>
      <c r="D15" s="14"/>
      <c r="E15" s="14"/>
      <c r="F15" s="14"/>
      <c r="G15" s="14"/>
      <c r="H15" s="14"/>
      <c r="I15" s="1"/>
      <c r="J15" s="13">
        <f>+J14/365</f>
        <v>9.6696986301369865</v>
      </c>
      <c r="K15" s="1">
        <f>IF(D56&gt;K16,D56-K16,0)</f>
        <v>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74" t="s">
        <v>9</v>
      </c>
      <c r="B16" s="66"/>
      <c r="C16" s="66"/>
      <c r="D16" s="16" t="s">
        <v>10</v>
      </c>
      <c r="E16" s="17">
        <f>+D13-J2+1</f>
        <v>215</v>
      </c>
      <c r="F16" s="16" t="s">
        <v>11</v>
      </c>
      <c r="G16" s="17">
        <f>+D13-J3+1</f>
        <v>396</v>
      </c>
      <c r="H16" s="14"/>
      <c r="I16" s="1"/>
      <c r="J16" s="13">
        <f>+C28*12/365</f>
        <v>58.018191780821915</v>
      </c>
      <c r="K16" s="13">
        <f>+J17*1277.5</f>
        <v>86471.28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74" t="s">
        <v>12</v>
      </c>
      <c r="B17" s="66"/>
      <c r="C17" s="66"/>
      <c r="D17" s="67">
        <v>43647</v>
      </c>
      <c r="E17" s="68"/>
      <c r="F17" s="67">
        <v>43466</v>
      </c>
      <c r="G17" s="68"/>
      <c r="H17" s="14"/>
      <c r="I17" s="1"/>
      <c r="J17" s="13">
        <f>+J16+J15+(((C30+C31)*12)/365)</f>
        <v>67.6878904109589</v>
      </c>
      <c r="K17" s="13">
        <f>+J17*D55</f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8"/>
      <c r="B18" s="18"/>
      <c r="C18" s="18"/>
      <c r="D18" s="19" t="s">
        <v>13</v>
      </c>
      <c r="E18" s="20">
        <f>IF(D14&gt;2,+D13-J7+1,0)</f>
        <v>0</v>
      </c>
      <c r="F18" s="19" t="s">
        <v>14</v>
      </c>
      <c r="G18" s="20">
        <f>IF(D14&gt;3,+D13-J8+1,0)</f>
        <v>0</v>
      </c>
      <c r="H18" s="14"/>
      <c r="I18" s="1"/>
      <c r="J18" s="1"/>
      <c r="K18" s="1">
        <f>+IF(C55&gt;45,45,C55)</f>
        <v>0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74" t="s">
        <v>12</v>
      </c>
      <c r="B19" s="66"/>
      <c r="C19" s="66"/>
      <c r="D19" s="67"/>
      <c r="E19" s="68"/>
      <c r="F19" s="67"/>
      <c r="G19" s="68"/>
      <c r="H19" s="14"/>
      <c r="I19" s="1"/>
      <c r="J19" s="1"/>
      <c r="K19" s="1">
        <f>+IF((H12/365)*K18&gt;1277.5,1277.5,(H12/365)*K18)</f>
        <v>0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6.25" customHeight="1">
      <c r="A20" s="21"/>
      <c r="B20" s="21"/>
      <c r="C20" s="21"/>
      <c r="D20" s="22"/>
      <c r="E20" s="22"/>
      <c r="F20" s="22"/>
      <c r="G20" s="22"/>
      <c r="H20" s="2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92" t="s">
        <v>15</v>
      </c>
      <c r="B21" s="66"/>
      <c r="C21" s="14"/>
      <c r="D21" s="92" t="s">
        <v>16</v>
      </c>
      <c r="E21" s="66"/>
      <c r="F21" s="24" t="s">
        <v>17</v>
      </c>
      <c r="G21" s="14"/>
      <c r="H21" s="14"/>
      <c r="I21" s="1"/>
      <c r="J21" s="1"/>
      <c r="K21" s="13">
        <f>+K19*J17</f>
        <v>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93" t="s">
        <v>18</v>
      </c>
      <c r="B22" s="68"/>
      <c r="C22" s="25">
        <v>1764.72</v>
      </c>
      <c r="D22" s="26" t="s">
        <v>19</v>
      </c>
      <c r="E22" s="27">
        <f>+M64</f>
        <v>1764.72</v>
      </c>
      <c r="F22" s="28">
        <v>30</v>
      </c>
      <c r="G22" s="14"/>
      <c r="H22" s="14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94"/>
      <c r="B23" s="68"/>
      <c r="C23" s="29">
        <v>0</v>
      </c>
      <c r="D23" s="26" t="s">
        <v>20</v>
      </c>
      <c r="E23" s="27">
        <f t="shared" ref="E23:E25" si="0">+L65</f>
        <v>1764.72</v>
      </c>
      <c r="F23" s="28">
        <v>30</v>
      </c>
      <c r="G23" s="14"/>
      <c r="H23" s="14"/>
      <c r="I23" s="1"/>
      <c r="J23" s="30">
        <f>+D13</f>
        <v>43861</v>
      </c>
      <c r="K23" s="13">
        <f>+K17-K21</f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95"/>
      <c r="B24" s="90"/>
      <c r="C24" s="29">
        <v>0</v>
      </c>
      <c r="D24" s="26" t="s">
        <v>13</v>
      </c>
      <c r="E24" s="27">
        <f t="shared" si="0"/>
        <v>0</v>
      </c>
      <c r="F24" s="28">
        <v>30</v>
      </c>
      <c r="G24" s="14"/>
      <c r="H24" s="14"/>
      <c r="I24" s="1"/>
      <c r="J24" s="31">
        <f>+D13-K24</f>
        <v>214</v>
      </c>
      <c r="K24" s="30">
        <f>IF($D$12&gt;D17,$D$12,D17)</f>
        <v>43647</v>
      </c>
      <c r="L24" s="31">
        <f>IF(J24&gt;J25,J25,J24)+1</f>
        <v>215</v>
      </c>
      <c r="M24" s="1"/>
      <c r="N24" s="1"/>
      <c r="O24" s="1"/>
      <c r="P24" s="1"/>
      <c r="Q24" s="32"/>
      <c r="R24" s="32"/>
      <c r="S24" s="32"/>
      <c r="T24" s="1"/>
      <c r="U24" s="1"/>
      <c r="V24" s="1"/>
      <c r="W24" s="1"/>
      <c r="X24" s="1"/>
      <c r="Y24" s="1"/>
      <c r="Z24" s="1"/>
    </row>
    <row r="25" spans="1:26" ht="12.75" customHeight="1">
      <c r="A25" s="95"/>
      <c r="B25" s="90"/>
      <c r="C25" s="29">
        <v>0</v>
      </c>
      <c r="D25" s="26" t="s">
        <v>14</v>
      </c>
      <c r="E25" s="27">
        <f t="shared" si="0"/>
        <v>0</v>
      </c>
      <c r="F25" s="28">
        <v>30</v>
      </c>
      <c r="G25" s="14"/>
      <c r="H25" s="14"/>
      <c r="I25" s="1"/>
      <c r="J25" s="31">
        <f>+D13-F17</f>
        <v>395</v>
      </c>
      <c r="K25" s="30">
        <f>IF($D$12&gt;F17,$D$12,F17)</f>
        <v>43466</v>
      </c>
      <c r="L25" s="1"/>
      <c r="M25" s="1"/>
      <c r="N25" s="1"/>
      <c r="O25" s="1"/>
      <c r="P25" s="1"/>
      <c r="Q25" s="32"/>
      <c r="R25" s="32"/>
      <c r="S25" s="32"/>
      <c r="T25" s="1"/>
      <c r="U25" s="1"/>
      <c r="V25" s="1"/>
      <c r="W25" s="1"/>
      <c r="X25" s="1"/>
      <c r="Y25" s="1"/>
      <c r="Z25" s="1"/>
    </row>
    <row r="26" spans="1:26" ht="12.75" customHeight="1">
      <c r="A26" s="95"/>
      <c r="B26" s="90"/>
      <c r="C26" s="29">
        <v>0</v>
      </c>
      <c r="D26" s="14"/>
      <c r="E26" s="14"/>
      <c r="F26" s="96" t="s">
        <v>21</v>
      </c>
      <c r="G26" s="66"/>
      <c r="H26" s="66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95"/>
      <c r="B27" s="90"/>
      <c r="C27" s="33">
        <v>0</v>
      </c>
      <c r="D27" s="14"/>
      <c r="E27" s="14"/>
      <c r="F27" s="34" t="s">
        <v>22</v>
      </c>
      <c r="G27" s="67"/>
      <c r="H27" s="68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76" t="s">
        <v>23</v>
      </c>
      <c r="B28" s="66"/>
      <c r="C28" s="35">
        <f>SUM(C22:C27)</f>
        <v>1764.72</v>
      </c>
      <c r="D28" s="14"/>
      <c r="E28" s="14"/>
      <c r="F28" s="34" t="s">
        <v>24</v>
      </c>
      <c r="G28" s="67"/>
      <c r="H28" s="68"/>
      <c r="I28" s="1"/>
      <c r="J28" s="31">
        <f t="shared" ref="J28:M28" si="1">IF($G$28&gt;J29,+$G$28-J29+1,0)</f>
        <v>0</v>
      </c>
      <c r="K28" s="31">
        <f t="shared" si="1"/>
        <v>0</v>
      </c>
      <c r="L28" s="31">
        <f t="shared" si="1"/>
        <v>0</v>
      </c>
      <c r="M28" s="31">
        <f t="shared" si="1"/>
        <v>0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97" t="s">
        <v>25</v>
      </c>
      <c r="B29" s="66"/>
      <c r="C29" s="66"/>
      <c r="D29" s="66"/>
      <c r="E29" s="14"/>
      <c r="F29" s="34" t="s">
        <v>22</v>
      </c>
      <c r="G29" s="67"/>
      <c r="H29" s="68"/>
      <c r="I29" s="1"/>
      <c r="J29" s="36">
        <f>IF(G27&gt;$D$17,G27,$D$17)</f>
        <v>43647</v>
      </c>
      <c r="K29" s="36">
        <f>IF(G27&gt;$F$17,G27,$F$17)</f>
        <v>43466</v>
      </c>
      <c r="L29" s="36">
        <f>IF(G27&gt;$D$19,G27,$D$19)</f>
        <v>0</v>
      </c>
      <c r="M29" s="36">
        <f>IF(G27&gt;$F$19,G27,$F$19)</f>
        <v>0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98"/>
      <c r="B30" s="68"/>
      <c r="C30" s="25">
        <v>0</v>
      </c>
      <c r="D30" s="14"/>
      <c r="E30" s="14"/>
      <c r="F30" s="34" t="s">
        <v>24</v>
      </c>
      <c r="G30" s="67"/>
      <c r="H30" s="68"/>
      <c r="I30" s="1"/>
      <c r="J30" s="31">
        <f t="shared" ref="J30:M30" si="2">IF($G$30&gt;J31,+$G$30-J31+1,0)</f>
        <v>0</v>
      </c>
      <c r="K30" s="31">
        <f t="shared" si="2"/>
        <v>0</v>
      </c>
      <c r="L30" s="31">
        <f t="shared" si="2"/>
        <v>0</v>
      </c>
      <c r="M30" s="31">
        <f t="shared" si="2"/>
        <v>0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99"/>
      <c r="B31" s="90"/>
      <c r="C31" s="29">
        <v>0</v>
      </c>
      <c r="D31" s="14"/>
      <c r="E31" s="14"/>
      <c r="F31" s="34" t="s">
        <v>22</v>
      </c>
      <c r="G31" s="67"/>
      <c r="H31" s="68"/>
      <c r="I31" s="1"/>
      <c r="J31" s="36">
        <f>IF(G29&gt;$D$17,G29,$D$17)</f>
        <v>43647</v>
      </c>
      <c r="K31" s="36">
        <f>IF(G29&gt;$F$17,G29,$F$17)</f>
        <v>43466</v>
      </c>
      <c r="L31" s="36">
        <f>IF(G29&gt;$D$19,G29,$D$19)</f>
        <v>0</v>
      </c>
      <c r="M31" s="36">
        <f>IF(G29&gt;$F$19,G29,$F$19)</f>
        <v>0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4"/>
      <c r="B32" s="14"/>
      <c r="C32" s="37" t="s">
        <v>26</v>
      </c>
      <c r="D32" s="14"/>
      <c r="E32" s="14"/>
      <c r="F32" s="34" t="s">
        <v>24</v>
      </c>
      <c r="G32" s="67"/>
      <c r="H32" s="68"/>
      <c r="I32" s="1"/>
      <c r="J32" s="31">
        <f t="shared" ref="J32:M32" si="3">IF($G$32&gt;J33,+$G$32-J33+1,0)</f>
        <v>0</v>
      </c>
      <c r="K32" s="31">
        <f t="shared" si="3"/>
        <v>0</v>
      </c>
      <c r="L32" s="31">
        <f t="shared" si="3"/>
        <v>0</v>
      </c>
      <c r="M32" s="31">
        <f t="shared" si="3"/>
        <v>0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00" t="s">
        <v>27</v>
      </c>
      <c r="B33" s="66"/>
      <c r="C33" s="38">
        <v>15</v>
      </c>
      <c r="D33" s="14"/>
      <c r="E33" s="39">
        <f t="shared" ref="E33:E34" si="4">+($C$28+$C$30+$C$31)/30*C33</f>
        <v>882.36</v>
      </c>
      <c r="F33" s="34" t="s">
        <v>22</v>
      </c>
      <c r="G33" s="67"/>
      <c r="H33" s="68"/>
      <c r="I33" s="1"/>
      <c r="J33" s="36">
        <f>IF(G31&gt;$D$17,G31,$D$17)</f>
        <v>43647</v>
      </c>
      <c r="K33" s="36">
        <f>IF(G31&gt;$F$17,G31,$F$17)</f>
        <v>43466</v>
      </c>
      <c r="L33" s="36">
        <f>IF(G31&gt;$D$19,G31,$D$19)</f>
        <v>0</v>
      </c>
      <c r="M33" s="36">
        <f>IF(G31&gt;$F$19,G31,$F$19)</f>
        <v>0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00" t="s">
        <v>28</v>
      </c>
      <c r="B34" s="66"/>
      <c r="C34" s="40"/>
      <c r="D34" s="14"/>
      <c r="E34" s="39">
        <f t="shared" si="4"/>
        <v>0</v>
      </c>
      <c r="F34" s="34" t="s">
        <v>24</v>
      </c>
      <c r="G34" s="67"/>
      <c r="H34" s="68"/>
      <c r="I34" s="1"/>
      <c r="J34" s="31">
        <f t="shared" ref="J34:M34" si="5">IF($G$34&gt;J35,+$G$34-J35+1,0)</f>
        <v>0</v>
      </c>
      <c r="K34" s="31">
        <f t="shared" si="5"/>
        <v>0</v>
      </c>
      <c r="L34" s="31">
        <f t="shared" si="5"/>
        <v>0</v>
      </c>
      <c r="M34" s="31">
        <f t="shared" si="5"/>
        <v>0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76"/>
      <c r="B35" s="66"/>
      <c r="C35" s="37" t="s">
        <v>29</v>
      </c>
      <c r="D35" s="37" t="s">
        <v>30</v>
      </c>
      <c r="E35" s="14"/>
      <c r="F35" s="14"/>
      <c r="G35" s="14"/>
      <c r="H35" s="14"/>
      <c r="I35" s="1"/>
      <c r="J35" s="36">
        <f>IF(G33&gt;$D$17,G33,$D$17)</f>
        <v>43647</v>
      </c>
      <c r="K35" s="36">
        <f>IF(G33&gt;$F$17,G33,$F$17)</f>
        <v>43466</v>
      </c>
      <c r="L35" s="36">
        <f>IF(G33&gt;$D$19,G33,$D$19)</f>
        <v>0</v>
      </c>
      <c r="M35" s="36">
        <f>IF(G33&gt;$F$19,G33,$F$19)</f>
        <v>0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01" t="s">
        <v>31</v>
      </c>
      <c r="B36" s="73"/>
      <c r="C36" s="38">
        <v>0</v>
      </c>
      <c r="D36" s="25">
        <v>0</v>
      </c>
      <c r="E36" s="27">
        <f t="shared" ref="E36:E43" si="6">+D36*C36</f>
        <v>0</v>
      </c>
      <c r="F36" s="65" t="s">
        <v>32</v>
      </c>
      <c r="G36" s="66"/>
      <c r="H36" s="66"/>
      <c r="I36" s="1"/>
      <c r="J36" s="1">
        <f t="shared" ref="J36:M36" si="7">IF($G$28&gt;1,J28,0)+IF($G$30&gt;1,J30,0)+IF($G$32&gt;1,J32,0)+IF($G$34&gt;1,J34,0)</f>
        <v>0</v>
      </c>
      <c r="K36" s="1">
        <f t="shared" si="7"/>
        <v>0</v>
      </c>
      <c r="L36" s="1">
        <f t="shared" si="7"/>
        <v>0</v>
      </c>
      <c r="M36" s="1">
        <f t="shared" si="7"/>
        <v>0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71" t="s">
        <v>33</v>
      </c>
      <c r="B37" s="64"/>
      <c r="C37" s="41">
        <v>0</v>
      </c>
      <c r="D37" s="29">
        <v>0</v>
      </c>
      <c r="E37" s="27">
        <f t="shared" si="6"/>
        <v>0</v>
      </c>
      <c r="F37" s="69"/>
      <c r="G37" s="70"/>
      <c r="H37" s="29">
        <v>0</v>
      </c>
      <c r="I37" s="1"/>
      <c r="J37" s="1">
        <f>IF(E16&gt;0,J36,0)</f>
        <v>0</v>
      </c>
      <c r="K37" s="1">
        <f>IF(G16&gt;0,K36,0)</f>
        <v>0</v>
      </c>
      <c r="L37" s="1">
        <f>IF(E18&gt;0,L36,0)</f>
        <v>0</v>
      </c>
      <c r="M37" s="1">
        <f>IF(G18&gt;0,M36,0)</f>
        <v>0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63"/>
      <c r="B38" s="64"/>
      <c r="C38" s="41">
        <v>1</v>
      </c>
      <c r="D38" s="29">
        <v>1100</v>
      </c>
      <c r="E38" s="27">
        <f t="shared" si="6"/>
        <v>1100</v>
      </c>
      <c r="F38" s="63"/>
      <c r="G38" s="64"/>
      <c r="H38" s="25">
        <v>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63"/>
      <c r="B39" s="64"/>
      <c r="C39" s="41">
        <v>0</v>
      </c>
      <c r="D39" s="29">
        <v>0</v>
      </c>
      <c r="E39" s="27">
        <f t="shared" si="6"/>
        <v>0</v>
      </c>
      <c r="F39" s="65" t="s">
        <v>34</v>
      </c>
      <c r="G39" s="66"/>
      <c r="H39" s="66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63"/>
      <c r="B40" s="64"/>
      <c r="C40" s="41">
        <v>0</v>
      </c>
      <c r="D40" s="29">
        <v>0</v>
      </c>
      <c r="E40" s="27">
        <f t="shared" si="6"/>
        <v>0</v>
      </c>
      <c r="F40" s="63"/>
      <c r="G40" s="64"/>
      <c r="H40" s="25">
        <v>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63"/>
      <c r="B41" s="64"/>
      <c r="C41" s="41">
        <v>0</v>
      </c>
      <c r="D41" s="29">
        <v>0</v>
      </c>
      <c r="E41" s="27">
        <f t="shared" si="6"/>
        <v>0</v>
      </c>
      <c r="F41" s="63"/>
      <c r="G41" s="64"/>
      <c r="H41" s="25">
        <v>0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69"/>
      <c r="B42" s="70"/>
      <c r="C42" s="41">
        <v>0</v>
      </c>
      <c r="D42" s="29">
        <v>0</v>
      </c>
      <c r="E42" s="27">
        <f t="shared" si="6"/>
        <v>0</v>
      </c>
      <c r="F42" s="14"/>
      <c r="G42" s="14"/>
      <c r="H42" s="14"/>
      <c r="I42" s="1"/>
      <c r="J42" s="1"/>
      <c r="K42" s="1" t="s">
        <v>35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72" t="s">
        <v>36</v>
      </c>
      <c r="B43" s="73"/>
      <c r="C43" s="42">
        <v>0</v>
      </c>
      <c r="D43" s="43">
        <v>0</v>
      </c>
      <c r="E43" s="27">
        <f t="shared" si="6"/>
        <v>0</v>
      </c>
      <c r="F43" s="14"/>
      <c r="G43" s="14"/>
      <c r="H43" s="14"/>
      <c r="I43" s="1"/>
      <c r="J43" s="13">
        <f>+E55</f>
        <v>0</v>
      </c>
      <c r="K43" s="1" t="b">
        <f>AND(C55&gt;45)</f>
        <v>0</v>
      </c>
      <c r="L43" s="44">
        <f>IF(K43=TRUE,(H12/365)*45,(H12/365)*C55)</f>
        <v>0</v>
      </c>
      <c r="M43" s="45">
        <f>IF(L43&gt;1277.5,1277.5,L43)</f>
        <v>0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74" t="s">
        <v>37</v>
      </c>
      <c r="B44" s="66"/>
      <c r="C44" s="23">
        <f>IF(D44&gt;0,E44/D44,0)</f>
        <v>0</v>
      </c>
      <c r="D44" s="27">
        <f>+F59</f>
        <v>147.06</v>
      </c>
      <c r="E44" s="27">
        <f>+M72</f>
        <v>0</v>
      </c>
      <c r="F44" s="75" t="s">
        <v>38</v>
      </c>
      <c r="G44" s="66"/>
      <c r="H44" s="66"/>
      <c r="I44" s="1"/>
      <c r="J44" s="13"/>
      <c r="K44" s="1"/>
      <c r="L44" s="44"/>
      <c r="M44" s="45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9" customHeight="1">
      <c r="A45" s="76"/>
      <c r="B45" s="66"/>
      <c r="C45" s="14"/>
      <c r="D45" s="14"/>
      <c r="E45" s="14"/>
      <c r="F45" s="77" t="s">
        <v>39</v>
      </c>
      <c r="G45" s="66"/>
      <c r="H45" s="66"/>
      <c r="I45" s="1"/>
      <c r="J45" s="13">
        <f>+J43-J46</f>
        <v>0</v>
      </c>
      <c r="K45" s="44">
        <f>IF(D55&gt;1277.5,1277.5,D55)</f>
        <v>0</v>
      </c>
      <c r="L45" s="31" t="b">
        <f>AND(C55&gt;45,D55&gt;1277.5)</f>
        <v>0</v>
      </c>
      <c r="M45" s="13">
        <f>+K17</f>
        <v>0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78" t="s">
        <v>40</v>
      </c>
      <c r="B46" s="66"/>
      <c r="C46" s="46">
        <f>IF(D14&gt;1,+E16-J37,L24)</f>
        <v>215</v>
      </c>
      <c r="D46" s="27">
        <f t="shared" ref="D46:D49" si="8">+L64/365</f>
        <v>4.8348493150684932</v>
      </c>
      <c r="E46" s="27">
        <f t="shared" ref="E46:E49" si="9">IF(F46=1,J48,0)</f>
        <v>1039.492602739726</v>
      </c>
      <c r="F46" s="28">
        <v>1</v>
      </c>
      <c r="G46" s="14"/>
      <c r="H46" s="14"/>
      <c r="I46" s="1"/>
      <c r="J46" s="13">
        <f>+($C$28/30*M43)+(((($C$30+$C$31)*12)/365)*M43)</f>
        <v>0</v>
      </c>
      <c r="K46" s="31">
        <f>+(H12/365)*45</f>
        <v>93.821917808219183</v>
      </c>
      <c r="L46" s="1" t="b">
        <f>AND(C55&lt;46,D55&gt;1277.5)</f>
        <v>0</v>
      </c>
      <c r="M46" s="1" t="s">
        <v>41</v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78" t="s">
        <v>42</v>
      </c>
      <c r="B47" s="66"/>
      <c r="C47" s="46">
        <f>+IF($D$14&gt;1,G16,0)-K37</f>
        <v>396</v>
      </c>
      <c r="D47" s="27">
        <f t="shared" si="8"/>
        <v>4.8348493150684932</v>
      </c>
      <c r="E47" s="27">
        <f t="shared" si="9"/>
        <v>1914.6003287671233</v>
      </c>
      <c r="F47" s="47">
        <v>1</v>
      </c>
      <c r="G47" s="14"/>
      <c r="H47" s="14"/>
      <c r="I47" s="1"/>
      <c r="J47" s="1"/>
      <c r="K47" s="1" t="b">
        <f>AND(D55&gt;1277.5)</f>
        <v>0</v>
      </c>
      <c r="L47" s="1" t="b">
        <f>AND(C55&gt;45,D55&lt;1277.6)</f>
        <v>0</v>
      </c>
      <c r="M47" s="1" t="s">
        <v>43</v>
      </c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78" t="s">
        <v>44</v>
      </c>
      <c r="B48" s="66"/>
      <c r="C48" s="46">
        <f>+IF($D$14&gt;2,E18,0)-L37</f>
        <v>0</v>
      </c>
      <c r="D48" s="27">
        <f t="shared" si="8"/>
        <v>0</v>
      </c>
      <c r="E48" s="27">
        <f t="shared" si="9"/>
        <v>0</v>
      </c>
      <c r="F48" s="47">
        <v>1</v>
      </c>
      <c r="G48" s="14"/>
      <c r="H48" s="14"/>
      <c r="I48" s="1"/>
      <c r="J48" s="13">
        <f>+C46*D46</f>
        <v>1039.492602739726</v>
      </c>
      <c r="K48" s="1"/>
      <c r="L48" s="1" t="b">
        <f>AND(C55&lt;46,D55&lt;1277.6)</f>
        <v>1</v>
      </c>
      <c r="M48" s="1" t="s">
        <v>45</v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78" t="s">
        <v>46</v>
      </c>
      <c r="B49" s="66"/>
      <c r="C49" s="46">
        <f>IF(D14&gt;3,G18,0)-M37</f>
        <v>0</v>
      </c>
      <c r="D49" s="27">
        <f t="shared" si="8"/>
        <v>0</v>
      </c>
      <c r="E49" s="27">
        <f t="shared" si="9"/>
        <v>0</v>
      </c>
      <c r="F49" s="47">
        <v>1</v>
      </c>
      <c r="G49" s="14"/>
      <c r="H49" s="14"/>
      <c r="I49" s="1"/>
      <c r="J49" s="13">
        <f>IF(D14&gt;1,C47*D47,0)</f>
        <v>1914.6003287671233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4"/>
      <c r="B50" s="14"/>
      <c r="C50" s="14"/>
      <c r="D50" s="14"/>
      <c r="E50" s="14"/>
      <c r="F50" s="14"/>
      <c r="G50" s="14"/>
      <c r="H50" s="14"/>
      <c r="I50" s="1"/>
      <c r="J50" s="13">
        <f>IF(D14&gt;2,C48*D48,0)</f>
        <v>0</v>
      </c>
      <c r="K50" s="1" t="s">
        <v>47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02" t="s">
        <v>48</v>
      </c>
      <c r="B51" s="66"/>
      <c r="C51" s="37" t="s">
        <v>49</v>
      </c>
      <c r="D51" s="37" t="s">
        <v>26</v>
      </c>
      <c r="E51" s="14"/>
      <c r="F51" s="14"/>
      <c r="G51" s="14"/>
      <c r="H51" s="14"/>
      <c r="I51" s="1"/>
      <c r="J51" s="13">
        <f>IF(D14&gt;3,C49*D49,0)</f>
        <v>0</v>
      </c>
      <c r="K51" s="1"/>
      <c r="L51" s="48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74" t="s">
        <v>50</v>
      </c>
      <c r="B52" s="66"/>
      <c r="C52" s="38">
        <v>20</v>
      </c>
      <c r="D52" s="49">
        <f>+(H12/365)*C52</f>
        <v>41.698630136986303</v>
      </c>
      <c r="E52" s="27">
        <f>+IF(D52&gt;(365*1),(J17*365),(J17*D52))</f>
        <v>2822.492306999437</v>
      </c>
      <c r="F52" s="78" t="s">
        <v>51</v>
      </c>
      <c r="G52" s="66"/>
      <c r="H52" s="14"/>
      <c r="I52" s="1"/>
      <c r="J52" s="1"/>
      <c r="K52" s="13"/>
      <c r="L52" s="13"/>
      <c r="M52" s="13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74" t="s">
        <v>52</v>
      </c>
      <c r="B53" s="66"/>
      <c r="C53" s="38">
        <v>33</v>
      </c>
      <c r="D53" s="49">
        <f>+(H12/365)*C53</f>
        <v>68.802739726027397</v>
      </c>
      <c r="E53" s="27">
        <f>+IF(D53&gt;(365*2),(J17*730),(J17*D53))</f>
        <v>4657.112306549071</v>
      </c>
      <c r="F53" s="78" t="s">
        <v>53</v>
      </c>
      <c r="G53" s="66"/>
      <c r="H53" s="14"/>
      <c r="I53" s="1"/>
      <c r="J53" s="1"/>
      <c r="K53" s="13"/>
      <c r="L53" s="13"/>
      <c r="M53" s="13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74" t="s">
        <v>54</v>
      </c>
      <c r="B54" s="66"/>
      <c r="C54" s="41">
        <v>45</v>
      </c>
      <c r="D54" s="49">
        <f>+(H12/365)*C54</f>
        <v>93.821917808219183</v>
      </c>
      <c r="E54" s="27">
        <f>+IF(D54&gt;(365*3.5),(J17*1277.5),(J17*D54))</f>
        <v>6350.6076907487331</v>
      </c>
      <c r="F54" s="78" t="s">
        <v>55</v>
      </c>
      <c r="G54" s="66"/>
      <c r="H54" s="14"/>
      <c r="I54" s="1"/>
      <c r="J54" s="1"/>
      <c r="K54" s="13"/>
      <c r="L54" s="13"/>
      <c r="M54" s="13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74" t="s">
        <v>56</v>
      </c>
      <c r="B55" s="66"/>
      <c r="C55" s="41">
        <v>0</v>
      </c>
      <c r="D55" s="49">
        <f>+(H12/365)*C55</f>
        <v>0</v>
      </c>
      <c r="E55" s="27">
        <f>+K17</f>
        <v>0</v>
      </c>
      <c r="F55" s="14"/>
      <c r="G55" s="14"/>
      <c r="H55" s="14"/>
      <c r="I55" s="1"/>
      <c r="J55" s="13"/>
      <c r="K55" s="13"/>
      <c r="L55" s="13"/>
      <c r="M55" s="13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74" t="s">
        <v>57</v>
      </c>
      <c r="B56" s="66"/>
      <c r="C56" s="14"/>
      <c r="D56" s="50">
        <v>0</v>
      </c>
      <c r="E56" s="27">
        <f>+D56-K15</f>
        <v>0</v>
      </c>
      <c r="F56" s="14"/>
      <c r="G56" s="14"/>
      <c r="H56" s="14"/>
      <c r="I56" s="1"/>
      <c r="J56" s="13"/>
      <c r="K56" s="13"/>
      <c r="L56" s="13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4"/>
      <c r="B57" s="14"/>
      <c r="C57" s="14"/>
      <c r="D57" s="18" t="s">
        <v>58</v>
      </c>
      <c r="E57" s="51">
        <f>K21+E54+E53+E52+E56</f>
        <v>13830.212304297242</v>
      </c>
      <c r="F57" s="14"/>
      <c r="G57" s="14"/>
      <c r="H57" s="14"/>
      <c r="I57" s="1"/>
      <c r="J57" s="1"/>
      <c r="K57" s="13"/>
      <c r="L57" s="13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4"/>
      <c r="B58" s="14"/>
      <c r="C58" s="14"/>
      <c r="D58" s="14"/>
      <c r="E58" s="14"/>
      <c r="F58" s="52" t="s">
        <v>37</v>
      </c>
      <c r="G58" s="52"/>
      <c r="H58" s="14"/>
      <c r="I58" s="1"/>
      <c r="J58" s="1"/>
      <c r="K58" s="1"/>
      <c r="L58" s="13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79" t="s">
        <v>23</v>
      </c>
      <c r="B59" s="66"/>
      <c r="C59" s="14"/>
      <c r="D59" s="14"/>
      <c r="E59" s="51">
        <f>SUM(E33,E36:E44)+E34</f>
        <v>1982.3600000000001</v>
      </c>
      <c r="F59" s="53">
        <f>+N62</f>
        <v>147.06</v>
      </c>
      <c r="G59" s="52"/>
      <c r="H59" s="54"/>
      <c r="I59" s="1"/>
      <c r="J59" s="1" t="b">
        <f>AND(D14&lt;3,D14&gt;0)</f>
        <v>1</v>
      </c>
      <c r="K59" s="13">
        <f>+((($E$22/30)*$C$33)*(7/6))-(($E$22/30)*$C$33)</f>
        <v>147.06000000000006</v>
      </c>
      <c r="L59" s="13">
        <f t="shared" ref="L59:L61" si="10">IF(J59=TRUE,K59,0)</f>
        <v>147.06000000000006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4"/>
      <c r="B60" s="74" t="s">
        <v>59</v>
      </c>
      <c r="C60" s="66"/>
      <c r="D60" s="55">
        <v>4.7E-2</v>
      </c>
      <c r="E60" s="27">
        <f>(SUM(E33,E36:E43)+E34)*D60+(($E$36+$E$37)*D60)+(N62*D60)</f>
        <v>100.08274000000002</v>
      </c>
      <c r="F60" s="14"/>
      <c r="G60" s="14"/>
      <c r="H60" s="14"/>
      <c r="I60" s="1"/>
      <c r="J60" s="1" t="b">
        <f>AND(D14&lt;4,D14&gt;2)</f>
        <v>0</v>
      </c>
      <c r="K60" s="13">
        <f>+((($E$22/30)*$C$33)*(7.5/6))-(($E$22/30)*$C$33)</f>
        <v>220.59000000000003</v>
      </c>
      <c r="L60" s="13">
        <f t="shared" si="10"/>
        <v>0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4"/>
      <c r="B61" s="74" t="s">
        <v>60</v>
      </c>
      <c r="C61" s="66"/>
      <c r="D61" s="56">
        <v>1.55E-2</v>
      </c>
      <c r="E61" s="27">
        <f>(SUM(E33,E36:E43)+E34)*D61+(($E$36+$E$37)*D61)+(N62*D61)</f>
        <v>33.006010000000003</v>
      </c>
      <c r="F61" s="14"/>
      <c r="G61" s="54"/>
      <c r="H61" s="14"/>
      <c r="I61" s="1"/>
      <c r="J61" s="1" t="b">
        <f>AND(D14&lt;5,D14&gt;3)</f>
        <v>0</v>
      </c>
      <c r="K61" s="13">
        <f>+((($E$22/30)*$C$33)*(8/6))-(($E$22/30)*$C$33)</f>
        <v>294.12</v>
      </c>
      <c r="L61" s="13">
        <f t="shared" si="10"/>
        <v>0</v>
      </c>
      <c r="M61" s="1"/>
      <c r="N61" s="1">
        <f>IF(D14&lt;2,12,12)</f>
        <v>12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4"/>
      <c r="B62" s="74" t="s">
        <v>61</v>
      </c>
      <c r="C62" s="66"/>
      <c r="D62" s="55">
        <v>1E-3</v>
      </c>
      <c r="E62" s="27">
        <f>(SUM(E33,E36:E43)+E34)*D62+(($E$36+$E$37)*D62)+(N62*D62)</f>
        <v>2.1294200000000001</v>
      </c>
      <c r="F62" s="14"/>
      <c r="G62" s="54"/>
      <c r="H62" s="14"/>
      <c r="I62" s="1"/>
      <c r="J62" s="1"/>
      <c r="K62" s="1"/>
      <c r="L62" s="13">
        <f>SUM(L59:L61)</f>
        <v>147.06000000000006</v>
      </c>
      <c r="M62" s="13">
        <f>SUM(L64:L67)</f>
        <v>3529.44</v>
      </c>
      <c r="N62" s="1">
        <f>+(M62/N61)/30*C33</f>
        <v>147.06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4"/>
      <c r="B63" s="74" t="s">
        <v>62</v>
      </c>
      <c r="C63" s="66"/>
      <c r="D63" s="57">
        <v>0.15</v>
      </c>
      <c r="E63" s="27">
        <f>+E59*D63+((H37+H38)*D63)</f>
        <v>297.35399999999998</v>
      </c>
      <c r="F63" s="14"/>
      <c r="G63" s="14"/>
      <c r="H63" s="14"/>
      <c r="I63" s="1"/>
      <c r="J63" s="1">
        <f>IF(C44&lt;0,0,F59*C44)</f>
        <v>0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85" t="s">
        <v>63</v>
      </c>
      <c r="B64" s="66"/>
      <c r="C64" s="14"/>
      <c r="D64" s="14"/>
      <c r="E64" s="58">
        <f>+E59-E60-E61-E62-E63+H37+H38+H40+H41</f>
        <v>1549.78783</v>
      </c>
      <c r="F64" s="14"/>
      <c r="G64" s="14"/>
      <c r="H64" s="14"/>
      <c r="I64" s="1"/>
      <c r="J64" s="1"/>
      <c r="K64" s="1">
        <f t="shared" ref="K64:K67" si="11">IF(L64&gt;0,1,0)</f>
        <v>1</v>
      </c>
      <c r="L64" s="13">
        <f>+IF($D$14&lt;2,($C$28/30*$F$22)*2,$C$28/30*$F$22)</f>
        <v>1764.72</v>
      </c>
      <c r="M64" s="13">
        <f>IF(D14&lt;2,L64/2,L64)</f>
        <v>1764.72</v>
      </c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74" t="s">
        <v>64</v>
      </c>
      <c r="B65" s="66"/>
      <c r="C65" s="66"/>
      <c r="D65" s="14"/>
      <c r="E65" s="59">
        <f>SUM(E46:E49)</f>
        <v>2954.0929315068493</v>
      </c>
      <c r="F65" s="14"/>
      <c r="G65" s="14"/>
      <c r="H65" s="14"/>
      <c r="I65" s="1"/>
      <c r="J65" s="1"/>
      <c r="K65" s="1">
        <f t="shared" si="11"/>
        <v>1</v>
      </c>
      <c r="L65" s="13">
        <f>+IF($D$14&gt;1,$C$28/30*$F$23,0)</f>
        <v>1764.72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14"/>
      <c r="B66" s="14"/>
      <c r="C66" s="26" t="s">
        <v>62</v>
      </c>
      <c r="D66" s="60">
        <f>+D63</f>
        <v>0.15</v>
      </c>
      <c r="E66" s="27">
        <f>+E65*D66</f>
        <v>443.11393972602735</v>
      </c>
      <c r="F66" s="14"/>
      <c r="G66" s="14"/>
      <c r="H66" s="14"/>
      <c r="I66" s="1"/>
      <c r="J66" s="1"/>
      <c r="K66" s="1">
        <f t="shared" si="11"/>
        <v>0</v>
      </c>
      <c r="L66" s="13">
        <f>+IF($D$14&gt;2,$C$28/30*$F$24,0)</f>
        <v>0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85" t="s">
        <v>65</v>
      </c>
      <c r="B67" s="66"/>
      <c r="C67" s="14"/>
      <c r="D67" s="14"/>
      <c r="E67" s="58">
        <f>+E65-E66</f>
        <v>2510.9789917808221</v>
      </c>
      <c r="F67" s="14"/>
      <c r="G67" s="14"/>
      <c r="H67" s="14"/>
      <c r="I67" s="1"/>
      <c r="J67" s="1"/>
      <c r="K67" s="1">
        <f t="shared" si="11"/>
        <v>0</v>
      </c>
      <c r="L67" s="13">
        <f>IF($D$14&gt;3,$C$28/30*$F$25,0)</f>
        <v>0</v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74" t="s">
        <v>66</v>
      </c>
      <c r="B68" s="66"/>
      <c r="C68" s="66"/>
      <c r="D68" s="14"/>
      <c r="E68" s="59">
        <f>+K23+K15</f>
        <v>0</v>
      </c>
      <c r="F68" s="14"/>
      <c r="G68" s="14"/>
      <c r="H68" s="14"/>
      <c r="I68" s="1"/>
      <c r="J68" s="1"/>
      <c r="K68" s="1">
        <f t="shared" ref="K68:K71" si="12">IF(K64=1,+L64/($L$64+$L$65+$L$66+$L$67),0)</f>
        <v>0.5</v>
      </c>
      <c r="L68" s="13">
        <f t="shared" ref="L68:L71" si="13">+K68*$D$44</f>
        <v>73.53</v>
      </c>
      <c r="M68" s="1">
        <f t="shared" ref="M68:M71" si="14">IF(F46&gt;0,0,L68)</f>
        <v>0</v>
      </c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61"/>
      <c r="B69" s="61"/>
      <c r="C69" s="26" t="s">
        <v>62</v>
      </c>
      <c r="D69" s="60">
        <f>+D63</f>
        <v>0.15</v>
      </c>
      <c r="E69" s="27">
        <f>+E68*D69</f>
        <v>0</v>
      </c>
      <c r="F69" s="14"/>
      <c r="G69" s="14"/>
      <c r="H69" s="14"/>
      <c r="I69" s="1"/>
      <c r="J69" s="1"/>
      <c r="K69" s="1">
        <f t="shared" si="12"/>
        <v>0.5</v>
      </c>
      <c r="L69" s="13">
        <f t="shared" si="13"/>
        <v>73.53</v>
      </c>
      <c r="M69" s="1">
        <f t="shared" si="14"/>
        <v>0</v>
      </c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85" t="s">
        <v>67</v>
      </c>
      <c r="B70" s="66"/>
      <c r="C70" s="66"/>
      <c r="D70" s="14"/>
      <c r="E70" s="58">
        <f>(+J43-E69)+E54+E52+E53+D56</f>
        <v>13830.212304297242</v>
      </c>
      <c r="F70" s="14"/>
      <c r="G70" s="14"/>
      <c r="H70" s="14"/>
      <c r="I70" s="1"/>
      <c r="J70" s="1"/>
      <c r="K70" s="1">
        <f t="shared" si="12"/>
        <v>0</v>
      </c>
      <c r="L70" s="13">
        <f t="shared" si="13"/>
        <v>0</v>
      </c>
      <c r="M70" s="1">
        <f t="shared" si="14"/>
        <v>0</v>
      </c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4"/>
      <c r="B71" s="14"/>
      <c r="C71" s="14"/>
      <c r="D71" s="14"/>
      <c r="E71" s="14"/>
      <c r="F71" s="14"/>
      <c r="G71" s="14"/>
      <c r="H71" s="14"/>
      <c r="I71" s="1"/>
      <c r="J71" s="1"/>
      <c r="K71" s="1">
        <f t="shared" si="12"/>
        <v>0</v>
      </c>
      <c r="L71" s="13">
        <f t="shared" si="13"/>
        <v>0</v>
      </c>
      <c r="M71" s="1">
        <f t="shared" si="14"/>
        <v>0</v>
      </c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>
      <c r="A72" s="14"/>
      <c r="B72" s="14"/>
      <c r="C72" s="80" t="s">
        <v>68</v>
      </c>
      <c r="D72" s="66"/>
      <c r="E72" s="62">
        <f>+E64+E67+E70</f>
        <v>17890.979126078062</v>
      </c>
      <c r="F72" s="81"/>
      <c r="G72" s="66"/>
      <c r="H72" s="14"/>
      <c r="I72" s="1"/>
      <c r="J72" s="1"/>
      <c r="K72" s="1"/>
      <c r="L72" s="1"/>
      <c r="M72" s="1">
        <f>SUM(M68:M71)</f>
        <v>0</v>
      </c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4"/>
      <c r="B73" s="14"/>
      <c r="C73" s="14"/>
      <c r="D73" s="14"/>
      <c r="E73" s="14"/>
      <c r="F73" s="14"/>
      <c r="G73" s="14"/>
      <c r="H73" s="14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4"/>
      <c r="B74" s="14"/>
      <c r="C74" s="14"/>
      <c r="D74" s="14"/>
      <c r="E74" s="14"/>
      <c r="F74" s="14"/>
      <c r="G74" s="14"/>
      <c r="H74" s="14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4"/>
      <c r="B75" s="14"/>
      <c r="C75" s="14"/>
      <c r="D75" s="14"/>
      <c r="E75" s="14"/>
      <c r="F75" s="14"/>
      <c r="G75" s="14"/>
      <c r="H75" s="14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4"/>
      <c r="B76" s="14"/>
      <c r="C76" s="14"/>
      <c r="D76" s="14"/>
      <c r="E76" s="14"/>
      <c r="F76" s="14"/>
      <c r="G76" s="14"/>
      <c r="H76" s="14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7.75" customHeight="1">
      <c r="A77" s="83" t="s">
        <v>69</v>
      </c>
      <c r="B77" s="84"/>
      <c r="C77" s="84"/>
      <c r="D77" s="84"/>
      <c r="E77" s="84"/>
      <c r="F77" s="68"/>
      <c r="G77" s="14"/>
      <c r="H77" s="14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" customHeight="1">
      <c r="A79" s="82"/>
      <c r="B79" s="66"/>
      <c r="C79" s="66"/>
      <c r="D79" s="66"/>
      <c r="E79" s="66"/>
      <c r="F79" s="66"/>
      <c r="G79" s="66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</sheetData>
  <mergeCells count="92">
    <mergeCell ref="A1:H3"/>
    <mergeCell ref="C7:H7"/>
    <mergeCell ref="A7:B7"/>
    <mergeCell ref="A8:B8"/>
    <mergeCell ref="C8:H8"/>
    <mergeCell ref="C9:H9"/>
    <mergeCell ref="C10:H10"/>
    <mergeCell ref="A31:B31"/>
    <mergeCell ref="A33:B33"/>
    <mergeCell ref="A34:B34"/>
    <mergeCell ref="A35:B35"/>
    <mergeCell ref="A36:B36"/>
    <mergeCell ref="A28:B28"/>
    <mergeCell ref="G28:H28"/>
    <mergeCell ref="G29:H29"/>
    <mergeCell ref="A29:D29"/>
    <mergeCell ref="A30:B30"/>
    <mergeCell ref="A25:B25"/>
    <mergeCell ref="A26:B26"/>
    <mergeCell ref="F26:H26"/>
    <mergeCell ref="A27:B27"/>
    <mergeCell ref="G27:H27"/>
    <mergeCell ref="A21:B21"/>
    <mergeCell ref="D21:E21"/>
    <mergeCell ref="A22:B22"/>
    <mergeCell ref="A23:B23"/>
    <mergeCell ref="A24:B24"/>
    <mergeCell ref="F17:G17"/>
    <mergeCell ref="D19:E19"/>
    <mergeCell ref="F19:G19"/>
    <mergeCell ref="D14:E14"/>
    <mergeCell ref="A19:C19"/>
    <mergeCell ref="A13:C13"/>
    <mergeCell ref="D13:E13"/>
    <mergeCell ref="A14:C14"/>
    <mergeCell ref="A16:C16"/>
    <mergeCell ref="A17:C17"/>
    <mergeCell ref="D17:E17"/>
    <mergeCell ref="A9:B9"/>
    <mergeCell ref="A10:B10"/>
    <mergeCell ref="A12:C12"/>
    <mergeCell ref="D12:E12"/>
    <mergeCell ref="F12:G12"/>
    <mergeCell ref="C72:D72"/>
    <mergeCell ref="F72:G72"/>
    <mergeCell ref="A79:G79"/>
    <mergeCell ref="A77:F77"/>
    <mergeCell ref="B62:C62"/>
    <mergeCell ref="B63:C63"/>
    <mergeCell ref="A64:B64"/>
    <mergeCell ref="A65:C65"/>
    <mergeCell ref="A67:B67"/>
    <mergeCell ref="A68:C68"/>
    <mergeCell ref="A70:C70"/>
    <mergeCell ref="A55:B55"/>
    <mergeCell ref="A56:B56"/>
    <mergeCell ref="A59:B59"/>
    <mergeCell ref="B60:C60"/>
    <mergeCell ref="B61:C61"/>
    <mergeCell ref="A45:B45"/>
    <mergeCell ref="F45:H45"/>
    <mergeCell ref="A46:B46"/>
    <mergeCell ref="A53:B53"/>
    <mergeCell ref="A54:B54"/>
    <mergeCell ref="A47:B47"/>
    <mergeCell ref="A48:B48"/>
    <mergeCell ref="A49:B49"/>
    <mergeCell ref="A51:B51"/>
    <mergeCell ref="A52:B52"/>
    <mergeCell ref="F52:G52"/>
    <mergeCell ref="F53:G53"/>
    <mergeCell ref="F54:G54"/>
    <mergeCell ref="A41:B41"/>
    <mergeCell ref="F41:G41"/>
    <mergeCell ref="A42:B42"/>
    <mergeCell ref="A43:B43"/>
    <mergeCell ref="A44:B44"/>
    <mergeCell ref="F44:H44"/>
    <mergeCell ref="A37:B37"/>
    <mergeCell ref="A38:B38"/>
    <mergeCell ref="A39:B39"/>
    <mergeCell ref="A40:B40"/>
    <mergeCell ref="F40:G40"/>
    <mergeCell ref="F38:G38"/>
    <mergeCell ref="F39:H39"/>
    <mergeCell ref="G30:H30"/>
    <mergeCell ref="G31:H31"/>
    <mergeCell ref="G32:H32"/>
    <mergeCell ref="G33:H33"/>
    <mergeCell ref="G34:H34"/>
    <mergeCell ref="F36:H36"/>
    <mergeCell ref="F37:G37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JustEXW</dc:creator>
  <cp:lastModifiedBy>Paula Masegosa</cp:lastModifiedBy>
  <dcterms:created xsi:type="dcterms:W3CDTF">2004-01-22T21:36:53Z</dcterms:created>
  <dcterms:modified xsi:type="dcterms:W3CDTF">2022-10-04T10:32:46Z</dcterms:modified>
</cp:coreProperties>
</file>